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<sst xmlns="http://schemas.openxmlformats.org/spreadsheetml/2006/main" count="73" uniqueCount="71">
  <si>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</si>
  <si>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</si>
  <si>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</si>
  <si>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</si>
  <si>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</si>
  <si>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</si>
  <si>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</si>
  <si>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</si>
  <si>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</si>
  <si>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</si>
  <si>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</si>
  <si>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</si>
  <si>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</si>
  <si>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</si>
  <si>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</si>
  <si>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</si>
  <si>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</si>
  <si>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</si>
  <si>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</si>
  <si>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</si>
  <si>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</si>
  <si>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</si>
  <si>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</si>
  <si>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</si>
  <si>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</si>
  <si>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</si>
  <si>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</si>
  <si>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</si>
  <si>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</si>
  <si>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</si>
  <si>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</si>
  <si>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</si>
  <si>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</si>
  <si>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</si>
  <si>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</si>
  <si>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</si>
  <si>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</si>
  <si>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</si>
  <si>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</si>
  <si>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</si>
  <si>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</si>
  <si>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</si>
  <si>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</si>
  <si>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</si>
  <si>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</si>
  <si>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</si>
  <si>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</si>
  <si>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</si>
  <si>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</si>
  <si>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</si>
  <si>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</si>
  <si>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</si>
  <si>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</si>
  <si>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BESALÚ - EL TORN</t>
  </si>
  <si>
    <t>Besalú</t>
  </si>
  <si>
    <t>primer creuament principal</t>
  </si>
  <si>
    <t>Sagrat Cor - Puig Cornador</t>
  </si>
  <si>
    <t>coll de bruc</t>
  </si>
  <si>
    <t>creuament carr. La Miana</t>
  </si>
  <si>
    <t>molí d'en Camps?</t>
  </si>
  <si>
    <t>El Torn (Final)</t>
  </si>
  <si>
    <t>Mas rampinya</t>
  </si>
  <si>
    <t>Mas cadavall</t>
  </si>
  <si>
    <t>seguim durant la caminada GR-2. Collet de les tres pedres</t>
  </si>
  <si>
    <t>Parada de 25 minuts.</t>
  </si>
  <si>
    <t>Camí molt emberdissat fins a poder retorbar el camí correcte una altra vegada.</t>
  </si>
  <si>
    <t>Font de mas pitre</t>
  </si>
  <si>
    <t>Collet de la serra</t>
  </si>
  <si>
    <t>Can Feo</t>
  </si>
  <si>
    <t>Can Jofre (per dalt)</t>
  </si>
  <si>
    <t>El camí es perd, les marques són escasses. Passem prop del riu.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</si>
</sst>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600</c:v>
                </c:pt>
                <c:pt idx="2">
                  <c:v>2350</c:v>
                </c:pt>
                <c:pt idx="3">
                  <c:v>2850</c:v>
                </c:pt>
                <c:pt idx="4">
                  <c:v>4850</c:v>
                </c:pt>
                <c:pt idx="5">
                  <c:v>6850</c:v>
                </c:pt>
                <c:pt idx="6">
                  <c:v>9850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137</c:v>
                </c:pt>
                <c:pt idx="1">
                  <c:v>172</c:v>
                </c:pt>
                <c:pt idx="2">
                  <c:v>450</c:v>
                </c:pt>
                <c:pt idx="3">
                  <c:v>420</c:v>
                </c:pt>
                <c:pt idx="4">
                  <c:v>260</c:v>
                </c:pt>
                <c:pt idx="5">
                  <c:v>240</c:v>
                </c:pt>
                <c:pt idx="6">
                  <c:v>260</c:v>
                </c:pt>
              </c:numCache>
            </c:numRef>
          </c:yVal>
          <c:smooth val="1"/>
        </c:ser>
        <c:axId val="43720437"/>
        <c:axId val="57939614"/>
      </c:scatterChart>
      <c:valAx>
        <c:axId val="4372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39614"/>
        <c:crosses val="autoZero"/>
        <c:crossBetween val="midCat"/>
        <c:dispUnits/>
      </c:valAx>
      <c:valAx>
        <c:axId val="57939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26</xdr:row>
      <xdr:rowOff>104775</xdr:rowOff>
    </xdr:from>
    <xdr:to>
      <xdr:col>12</xdr:col>
      <xdr:colOff>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C13" sqref="C13"/>
    </sheetView>
  </sheetViews>
  <sheetFormatPr defaultColWidth="11.421875" defaultRowHeight="12.75" outlineLevelCol="1"/>
  <cols>
    <col min="1" max="1" width="1.14843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0039062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Besalú</v>
      </c>
      <c r="E6" s="56">
        <f>C7</f>
        <v>137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137</v>
      </c>
      <c r="D7" s="11" t="s">
        <v>55</v>
      </c>
      <c r="E7" s="12">
        <v>172</v>
      </c>
      <c r="F7" s="13">
        <v>188</v>
      </c>
      <c r="G7" s="14">
        <f>E7-C7</f>
        <v>35</v>
      </c>
      <c r="H7" s="12">
        <v>600</v>
      </c>
      <c r="I7" s="14">
        <f>IF(G7&gt;=0,O7*(100+Instruccions!B33)/100,(O7*2/3)*(100+Instruccions!B33)/100)</f>
        <v>13.755</v>
      </c>
      <c r="J7" s="14">
        <f>I7</f>
        <v>13.755</v>
      </c>
      <c r="K7" s="19">
        <v>12</v>
      </c>
      <c r="L7" s="15" t="s">
        <v>63</v>
      </c>
      <c r="M7" s="42">
        <f>(ABS(G7)/Instruccions!B31*60)</f>
        <v>5.25</v>
      </c>
      <c r="N7" s="43">
        <f>(H7/Instruccions!B32*60)</f>
        <v>7.199999999999999</v>
      </c>
      <c r="O7" s="43">
        <f>IF(M7&gt;=N7,M7+(N7/2),N7+(M7/2))</f>
        <v>9.825</v>
      </c>
      <c r="P7" s="44">
        <f>H7</f>
        <v>600</v>
      </c>
    </row>
    <row r="8" spans="2:16" ht="19.5" customHeight="1">
      <c r="B8" s="16" t="str">
        <f>IF(D7="","",IF(ISERROR(SEARCH("Final",D7))=TRUE,D7,""))</f>
        <v>primer creuament principal</v>
      </c>
      <c r="C8" s="17">
        <f aca="true" t="shared" si="0" ref="C8:C16">IF(B8="",0,E7)</f>
        <v>172</v>
      </c>
      <c r="D8" s="11" t="s">
        <v>56</v>
      </c>
      <c r="E8" s="12">
        <v>450</v>
      </c>
      <c r="F8" s="13">
        <v>252</v>
      </c>
      <c r="G8" s="14">
        <f>E8-C8</f>
        <v>278</v>
      </c>
      <c r="H8" s="12">
        <v>1750</v>
      </c>
      <c r="I8" s="14">
        <f>IF(G8&gt;=0,O8*(100+Instruccions!B34)/100,(O8*2/3)*(100+Instruccions!B34)/100)</f>
        <v>52.2</v>
      </c>
      <c r="J8" s="21">
        <f aca="true" t="shared" si="1" ref="J8:J26">IF(I8=0,0,I8+J7)</f>
        <v>65.955</v>
      </c>
      <c r="K8" s="19">
        <v>70</v>
      </c>
      <c r="L8" s="15" t="s">
        <v>64</v>
      </c>
      <c r="M8" s="42">
        <f>(ABS(G8)/Instruccions!B31*60)</f>
        <v>41.699999999999996</v>
      </c>
      <c r="N8" s="43">
        <f>(H8/Instruccions!B32*60)</f>
        <v>21</v>
      </c>
      <c r="O8" s="43">
        <f aca="true" t="shared" si="2" ref="O8:O26">IF(M8&gt;=N8,M8+(N8/2),N8+(M8/2))</f>
        <v>52.199999999999996</v>
      </c>
      <c r="P8" s="44">
        <f aca="true" t="shared" si="3" ref="P8:P26">IF(H8=0,NA(),H8+P7)</f>
        <v>2350</v>
      </c>
    </row>
    <row r="9" spans="2:16" ht="19.5" customHeight="1">
      <c r="B9" s="16" t="str">
        <f aca="true" t="shared" si="4" ref="B9:B26">IF(D8="","",IF(ISERROR(SEARCH("Final",D8))=TRUE,D8,""))</f>
        <v>Sagrat Cor - Puig Cornador</v>
      </c>
      <c r="C9" s="17">
        <f t="shared" si="0"/>
        <v>450</v>
      </c>
      <c r="D9" s="18" t="s">
        <v>57</v>
      </c>
      <c r="E9" s="19">
        <v>420</v>
      </c>
      <c r="F9" s="20">
        <v>246</v>
      </c>
      <c r="G9" s="21">
        <f aca="true" t="shared" si="5" ref="G9:G26">E9-C9</f>
        <v>-30</v>
      </c>
      <c r="H9" s="19">
        <v>500</v>
      </c>
      <c r="I9" s="21">
        <f>IF(G9&gt;=0,O9*(100+Instruccions!B33)/100,(O9*2/3)*(100+Instruccions!B33)/100)</f>
        <v>7.7</v>
      </c>
      <c r="J9" s="21">
        <f t="shared" si="1"/>
        <v>73.655</v>
      </c>
      <c r="K9" s="19"/>
      <c r="L9" s="22" t="s">
        <v>65</v>
      </c>
      <c r="M9" s="42">
        <f>(ABS(G9)/Instruccions!B31*60)</f>
        <v>4.5</v>
      </c>
      <c r="N9" s="43">
        <f>(H9/Instruccions!B32*60)</f>
        <v>6</v>
      </c>
      <c r="O9" s="43">
        <f t="shared" si="2"/>
        <v>8.25</v>
      </c>
      <c r="P9" s="44">
        <f t="shared" si="3"/>
        <v>2850</v>
      </c>
    </row>
    <row r="10" spans="2:16" ht="19.5" customHeight="1">
      <c r="B10" s="16" t="str">
        <f t="shared" si="4"/>
        <v>coll de bruc</v>
      </c>
      <c r="C10" s="17">
        <f t="shared" si="0"/>
        <v>420</v>
      </c>
      <c r="D10" s="18" t="s">
        <v>58</v>
      </c>
      <c r="E10" s="19">
        <v>260</v>
      </c>
      <c r="F10" s="20">
        <v>214</v>
      </c>
      <c r="G10" s="21">
        <f t="shared" si="5"/>
        <v>-160</v>
      </c>
      <c r="H10" s="19">
        <v>2000</v>
      </c>
      <c r="I10" s="21">
        <f>IF(G10&gt;=0,O10*(100+Instruccions!B33)/100,(O10*2/3)*(100+Instruccions!B33)/100)</f>
        <v>33.6</v>
      </c>
      <c r="J10" s="21">
        <f t="shared" si="1"/>
        <v>107.255</v>
      </c>
      <c r="K10" s="19">
        <v>285</v>
      </c>
      <c r="L10" s="22"/>
      <c r="M10" s="42">
        <f>(ABS(G10)/Instruccions!B31*60)</f>
        <v>24</v>
      </c>
      <c r="N10" s="43">
        <f>(H10/Instruccions!B32*60)</f>
        <v>24</v>
      </c>
      <c r="O10" s="43">
        <f t="shared" si="2"/>
        <v>36</v>
      </c>
      <c r="P10" s="44">
        <f t="shared" si="3"/>
        <v>4850</v>
      </c>
    </row>
    <row r="11" spans="2:16" ht="19.5" customHeight="1">
      <c r="B11" s="16" t="str">
        <f t="shared" si="4"/>
        <v>creuament carr. La Miana</v>
      </c>
      <c r="C11" s="17">
        <f t="shared" si="0"/>
        <v>260</v>
      </c>
      <c r="D11" s="18" t="s">
        <v>59</v>
      </c>
      <c r="E11" s="19">
        <v>240</v>
      </c>
      <c r="F11" s="20">
        <v>160</v>
      </c>
      <c r="G11" s="21">
        <f t="shared" si="5"/>
        <v>-20</v>
      </c>
      <c r="H11" s="19">
        <v>2000</v>
      </c>
      <c r="I11" s="21">
        <f>IF(G11&gt;=0,O11*(100+Instruccions!B33)/100,(O11*2/3)*(100+Instruccions!B33)/100)</f>
        <v>23.8</v>
      </c>
      <c r="J11" s="21">
        <f t="shared" si="1"/>
        <v>131.055</v>
      </c>
      <c r="K11" s="19"/>
      <c r="L11" s="22"/>
      <c r="M11" s="42">
        <f>(ABS(G11)/Instruccions!B31*60)</f>
        <v>3</v>
      </c>
      <c r="N11" s="43">
        <f>(H11/Instruccions!B32*60)</f>
        <v>24</v>
      </c>
      <c r="O11" s="43">
        <f t="shared" si="2"/>
        <v>25.5</v>
      </c>
      <c r="P11" s="44">
        <f t="shared" si="3"/>
        <v>6850</v>
      </c>
    </row>
    <row r="12" spans="2:16" ht="19.5" customHeight="1">
      <c r="B12" s="16" t="str">
        <f t="shared" si="4"/>
        <v>molí d'en Camps?</v>
      </c>
      <c r="C12" s="17">
        <f t="shared" si="0"/>
        <v>240</v>
      </c>
      <c r="D12" s="18" t="s">
        <v>60</v>
      </c>
      <c r="E12" s="19">
        <v>260</v>
      </c>
      <c r="F12" s="20">
        <v>254</v>
      </c>
      <c r="G12" s="21">
        <f t="shared" si="5"/>
        <v>20</v>
      </c>
      <c r="H12" s="19">
        <v>3000</v>
      </c>
      <c r="I12" s="21">
        <f>IF(G12&gt;=0,O12*(100+Instruccions!B33)/100,(O12*2/3)*(100+Instruccions!B33)/100)</f>
        <v>52.5</v>
      </c>
      <c r="J12" s="21">
        <f t="shared" si="1"/>
        <v>183.555</v>
      </c>
      <c r="K12" s="19">
        <v>350</v>
      </c>
      <c r="L12" s="22" t="s">
        <v>70</v>
      </c>
      <c r="M12" s="42">
        <f>(ABS(G12)/Instruccions!B31*60)</f>
        <v>3</v>
      </c>
      <c r="N12" s="43">
        <f>(H12/Instruccions!B32*60)</f>
        <v>36</v>
      </c>
      <c r="O12" s="43">
        <f t="shared" si="2"/>
        <v>37.5</v>
      </c>
      <c r="P12" s="44">
        <f t="shared" si="3"/>
        <v>9850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 t="s">
        <v>66</v>
      </c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 t="s">
        <v>67</v>
      </c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61" t="s">
        <v>68</v>
      </c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61" t="s">
        <v>69</v>
      </c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 t="s">
        <v>61</v>
      </c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 t="s">
        <v>62</v>
      </c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9850</v>
      </c>
      <c r="D28" s="33"/>
    </row>
    <row r="29" spans="2:4" ht="19.5" customHeight="1">
      <c r="B29" s="8" t="s">
        <v>17</v>
      </c>
      <c r="C29" s="6">
        <f>SUM(I7:I27)</f>
        <v>183.555</v>
      </c>
      <c r="D29" s="34">
        <f>C29/60</f>
        <v>3.05925</v>
      </c>
    </row>
    <row r="30" spans="2:4" ht="19.5" customHeight="1">
      <c r="B30" s="8" t="s">
        <v>18</v>
      </c>
      <c r="C30" s="6">
        <f>SUMIF(G7:G27,"&gt;0",G7:G27)</f>
        <v>333</v>
      </c>
      <c r="D30" s="35"/>
    </row>
    <row r="31" spans="2:4" ht="19.5" customHeight="1" thickBot="1">
      <c r="B31" s="9" t="s">
        <v>19</v>
      </c>
      <c r="C31" s="7">
        <f>SUMIF(G7:G27,"&lt;0",G7:G27)</f>
        <v>-210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5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2004-11-06T22:21:18Z</cp:lastPrinted>
  <dcterms:created xsi:type="dcterms:W3CDTF">2004-05-05T18:52:05Z</dcterms:created>
  <dcterms:modified xsi:type="dcterms:W3CDTF">2005-08-23T09:57:07Z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